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8800" windowHeight="11400"/>
  </bookViews>
  <sheets>
    <sheet name="Data" sheetId="1" r:id="rId1"/>
    <sheet name="soil loading rate" sheetId="3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0" i="3"/>
  <c r="A19" i="3"/>
  <c r="A18" i="3"/>
  <c r="D17" i="3"/>
  <c r="A16" i="3"/>
  <c r="C12" i="3"/>
  <c r="C14" i="3"/>
  <c r="H7" i="3"/>
  <c r="H10" i="3"/>
  <c r="G10" i="3"/>
  <c r="C9" i="3"/>
  <c r="C16" i="3"/>
  <c r="Q6" i="1"/>
  <c r="Q7" i="1"/>
  <c r="Q8" i="1"/>
  <c r="Q9" i="1"/>
  <c r="Q10" i="1"/>
  <c r="C18" i="3"/>
  <c r="C15" i="3"/>
  <c r="C19" i="3"/>
  <c r="C20" i="3"/>
  <c r="C21" i="3"/>
  <c r="I18" i="1"/>
  <c r="I19" i="1"/>
  <c r="I20" i="1"/>
  <c r="I21" i="1"/>
  <c r="I22" i="1"/>
  <c r="I23" i="1"/>
  <c r="I24" i="1"/>
  <c r="I25" i="1"/>
  <c r="I6" i="1"/>
  <c r="I7" i="1"/>
  <c r="I8" i="1"/>
  <c r="I9" i="1"/>
  <c r="I10" i="1"/>
  <c r="I11" i="1"/>
</calcChain>
</file>

<file path=xl/sharedStrings.xml><?xml version="1.0" encoding="utf-8"?>
<sst xmlns="http://schemas.openxmlformats.org/spreadsheetml/2006/main" count="112" uniqueCount="89">
  <si>
    <t>g/kg</t>
  </si>
  <si>
    <t>kg/ac</t>
  </si>
  <si>
    <t>lbs/kg</t>
  </si>
  <si>
    <t>lbs/ac</t>
  </si>
  <si>
    <t>ug/kg</t>
  </si>
  <si>
    <t>A</t>
  </si>
  <si>
    <t>lbs/ton</t>
  </si>
  <si>
    <t>ppm</t>
  </si>
  <si>
    <t>C</t>
  </si>
  <si>
    <t>g total PFAS</t>
  </si>
  <si>
    <t>acres</t>
  </si>
  <si>
    <t>ng/L water source ∑PFAS contamination concentration</t>
  </si>
  <si>
    <t>mg/g</t>
  </si>
  <si>
    <t>ug/mg</t>
  </si>
  <si>
    <t>D</t>
  </si>
  <si>
    <t>ug/kg increase in concentration of PFOS-based surfactants in the soil per application</t>
  </si>
  <si>
    <t>g PFAS/ac</t>
  </si>
  <si>
    <t>kg PFAS/ac</t>
  </si>
  <si>
    <t>lb PFAS/ac</t>
  </si>
  <si>
    <t>lb PFAS/lb soil</t>
  </si>
  <si>
    <t>mg/kg PFAS in soil</t>
  </si>
  <si>
    <t>ug/kg PFAS in soil</t>
  </si>
  <si>
    <t>ft2/acre</t>
  </si>
  <si>
    <t>inch water for irrigation</t>
  </si>
  <si>
    <t>inches per foot</t>
  </si>
  <si>
    <t>ft3 irrigation water per acre</t>
  </si>
  <si>
    <t>gallons/ft3</t>
  </si>
  <si>
    <t>liters/gallon</t>
  </si>
  <si>
    <t>liters/acre</t>
  </si>
  <si>
    <t>ng/kg</t>
  </si>
  <si>
    <t>kg PFAS/acre</t>
  </si>
  <si>
    <t>lb PFAS/acre</t>
  </si>
  <si>
    <t>mg/kg PFAS soil</t>
  </si>
  <si>
    <t>ug/kg PFAS soil</t>
  </si>
  <si>
    <t>ng/kg PFAS soil (ppt)</t>
  </si>
  <si>
    <t>ng/ug</t>
  </si>
  <si>
    <t>conversion to parts per million</t>
  </si>
  <si>
    <t>lbs soil/acre-furrow slice</t>
  </si>
  <si>
    <t>PFAS in irrigation water</t>
  </si>
  <si>
    <t>Aerial deposition of PFAS to ag land</t>
  </si>
  <si>
    <t>PFAS in pesticide applied to ag land</t>
  </si>
  <si>
    <t>liters/ac application of pesticide</t>
  </si>
  <si>
    <t>mg/kg</t>
  </si>
  <si>
    <t>mg/kg FAS in pesticide</t>
  </si>
  <si>
    <t>mg PFAS/ac per acre applied in single application</t>
  </si>
  <si>
    <t>Single Parameter Loading Rate Calculation</t>
  </si>
  <si>
    <t>Inputs</t>
  </si>
  <si>
    <t>Parameter of Interest*</t>
  </si>
  <si>
    <t>PFOS</t>
  </si>
  <si>
    <t xml:space="preserve">Concentration in Soil Amendment </t>
  </si>
  <si>
    <t>Target %OM increase</t>
  </si>
  <si>
    <t>unit</t>
  </si>
  <si>
    <t>fraction</t>
  </si>
  <si>
    <t>Solids content (%)</t>
  </si>
  <si>
    <t>ppt</t>
  </si>
  <si>
    <t>Bulk Density</t>
  </si>
  <si>
    <r>
      <t>#/Y</t>
    </r>
    <r>
      <rPr>
        <vertAlign val="superscript"/>
        <sz val="11"/>
        <color theme="1"/>
        <rFont val="Calibri"/>
        <family val="2"/>
        <scheme val="minor"/>
      </rPr>
      <t>3</t>
    </r>
  </si>
  <si>
    <t>ppb</t>
  </si>
  <si>
    <t>Application Rate</t>
  </si>
  <si>
    <t>wet tons/ac</t>
  </si>
  <si>
    <t>dry tons/ac</t>
  </si>
  <si>
    <t>%</t>
  </si>
  <si>
    <t>soil bulk density</t>
  </si>
  <si>
    <t>unit:</t>
  </si>
  <si>
    <t>soil moisture content</t>
  </si>
  <si>
    <t xml:space="preserve">note: </t>
  </si>
  <si>
    <t>the unit in the above row changes depending on the unit of measurement selected in cell D5</t>
  </si>
  <si>
    <t>dry mass of soil</t>
  </si>
  <si>
    <t>dry tons/acre-inch</t>
  </si>
  <si>
    <t>Depth of plow layer (in)</t>
  </si>
  <si>
    <t>Depth of plow layer</t>
  </si>
  <si>
    <t>dry mass of plow layer</t>
  </si>
  <si>
    <t>dry tons/acre</t>
  </si>
  <si>
    <t>ratio of soil to soil amendment</t>
  </si>
  <si>
    <t>dry weight</t>
  </si>
  <si>
    <t>#/acre</t>
  </si>
  <si>
    <t xml:space="preserve">Initial soil concentration*  </t>
  </si>
  <si>
    <t>note*:</t>
  </si>
  <si>
    <t xml:space="preserve"> the initial soil concentration &amp; concentration in soil amendment must be entered using the same unit of measurement</t>
  </si>
  <si>
    <t>Soil concentration after 1 application</t>
  </si>
  <si>
    <t>change in soil conc. after 1 application</t>
  </si>
  <si>
    <t>For Calculations Only: Do not Change</t>
  </si>
  <si>
    <t>short ton</t>
  </si>
  <si>
    <t>=</t>
  </si>
  <si>
    <t>#</t>
  </si>
  <si>
    <t>percent conversion</t>
  </si>
  <si>
    <r>
      <t>Y</t>
    </r>
    <r>
      <rPr>
        <vertAlign val="superscript"/>
        <sz val="10"/>
        <color indexed="8"/>
        <rFont val="Calibri"/>
        <family val="2"/>
        <scheme val="minor"/>
      </rPr>
      <t>3</t>
    </r>
  </si>
  <si>
    <r>
      <t>ft</t>
    </r>
    <r>
      <rPr>
        <vertAlign val="superscript"/>
        <sz val="10"/>
        <color indexed="8"/>
        <rFont val="Calibri"/>
        <family val="2"/>
        <scheme val="minor"/>
      </rPr>
      <t>3</t>
    </r>
  </si>
  <si>
    <t>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</si>
</sst>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0" fillId="4" borderId="1" xfId="0" applyFill="1" applyBorder="1"/>
    <xf numFmtId="3" fontId="0" fillId="4" borderId="1" xfId="0" applyNumberFormat="1" applyFill="1" applyBorder="1"/>
    <xf numFmtId="3" fontId="0" fillId="4" borderId="1" xfId="0" applyNumberFormat="1" applyFont="1" applyFill="1" applyBorder="1"/>
    <xf numFmtId="2" fontId="0" fillId="4" borderId="1" xfId="0" applyNumberFormat="1" applyFill="1" applyBorder="1"/>
    <xf numFmtId="3" fontId="0" fillId="0" borderId="1" xfId="0" applyNumberFormat="1" applyFill="1" applyBorder="1"/>
    <xf numFmtId="164" fontId="1" fillId="0" borderId="1" xfId="0" applyNumberFormat="1" applyFont="1" applyBorder="1"/>
    <xf numFmtId="165" fontId="0" fillId="0" borderId="1" xfId="0" applyNumberFormat="1" applyBorder="1"/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3" fontId="0" fillId="5" borderId="1" xfId="0" applyNumberFormat="1" applyFill="1" applyBorder="1"/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5" borderId="4" xfId="0" applyFill="1" applyBorder="1"/>
    <xf numFmtId="0" fontId="0" fillId="6" borderId="1" xfId="0" applyFont="1" applyFill="1" applyBorder="1"/>
    <xf numFmtId="0" fontId="0" fillId="0" borderId="5" xfId="0" applyBorder="1" applyAlignment="1">
      <alignment horizontal="right"/>
    </xf>
    <xf numFmtId="0" fontId="0" fillId="0" borderId="6" xfId="0" applyBorder="1"/>
    <xf numFmtId="3" fontId="0" fillId="0" borderId="7" xfId="0" applyNumberFormat="1" applyBorder="1"/>
    <xf numFmtId="0" fontId="7" fillId="0" borderId="0" xfId="0" applyFont="1"/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6" fontId="0" fillId="0" borderId="1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166" fontId="0" fillId="0" borderId="4" xfId="0" applyNumberFormat="1" applyFont="1" applyBorder="1" applyAlignment="1">
      <alignment horizontal="center"/>
    </xf>
    <xf numFmtId="0" fontId="0" fillId="0" borderId="9" xfId="0" applyFont="1" applyFill="1" applyBorder="1"/>
    <xf numFmtId="166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quotePrefix="1" applyFont="1" applyBorder="1" applyAlignment="1">
      <alignment horizontal="right"/>
    </xf>
    <xf numFmtId="0" fontId="0" fillId="0" borderId="10" xfId="0" applyBorder="1"/>
    <xf numFmtId="0" fontId="0" fillId="2" borderId="1" xfId="0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9" fontId="0" fillId="2" borderId="1" xfId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9" fontId="5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25"/>
  <sheetViews>
    <sheetView tabSelected="1" workbookViewId="0">
      <selection activeCell="M10" sqref="M10"/>
    </sheetView>
  </sheetViews>
  <sheetFormatPr baseColWidth="10" defaultColWidth="8.83203125" defaultRowHeight="14" x14ac:dyDescent="0"/>
  <cols>
    <col min="4" max="4" width="19" customWidth="1"/>
    <col min="9" max="9" width="12" bestFit="1" customWidth="1"/>
    <col min="17" max="17" width="9.5" bestFit="1" customWidth="1"/>
    <col min="24" max="24" width="7.5" bestFit="1" customWidth="1"/>
  </cols>
  <sheetData>
    <row r="2" spans="4:18">
      <c r="D2" s="6">
        <v>1000</v>
      </c>
      <c r="E2" t="s">
        <v>0</v>
      </c>
      <c r="I2" t="s">
        <v>5</v>
      </c>
      <c r="J2" t="s">
        <v>39</v>
      </c>
      <c r="Q2" t="s">
        <v>14</v>
      </c>
      <c r="R2" t="s">
        <v>40</v>
      </c>
    </row>
    <row r="3" spans="4:18">
      <c r="D3" s="6">
        <v>1000000</v>
      </c>
      <c r="E3" t="s">
        <v>42</v>
      </c>
    </row>
    <row r="4" spans="4:18">
      <c r="D4" s="6">
        <v>1000000000</v>
      </c>
      <c r="E4" t="s">
        <v>4</v>
      </c>
      <c r="I4" s="53">
        <v>100</v>
      </c>
      <c r="J4" t="s">
        <v>9</v>
      </c>
      <c r="Q4" s="53">
        <v>50</v>
      </c>
      <c r="R4" t="s">
        <v>43</v>
      </c>
    </row>
    <row r="5" spans="4:18">
      <c r="D5" s="6">
        <v>1000000000000</v>
      </c>
      <c r="E5" t="s">
        <v>29</v>
      </c>
      <c r="I5" s="53">
        <v>1000</v>
      </c>
      <c r="J5" t="s">
        <v>10</v>
      </c>
      <c r="Q5" s="53">
        <v>2</v>
      </c>
      <c r="R5" t="s">
        <v>41</v>
      </c>
    </row>
    <row r="6" spans="4:18">
      <c r="D6" s="6">
        <v>1000</v>
      </c>
      <c r="E6" t="s">
        <v>35</v>
      </c>
      <c r="I6" s="1">
        <f>+I4/I5</f>
        <v>0.1</v>
      </c>
      <c r="J6" t="s">
        <v>16</v>
      </c>
      <c r="Q6" s="1">
        <f>Q4*Q5</f>
        <v>100</v>
      </c>
      <c r="R6" t="s">
        <v>44</v>
      </c>
    </row>
    <row r="7" spans="4:18">
      <c r="D7" s="6">
        <v>1000</v>
      </c>
      <c r="E7" t="s">
        <v>13</v>
      </c>
      <c r="I7" s="1">
        <f>I6/D2</f>
        <v>1E-4</v>
      </c>
      <c r="J7" t="s">
        <v>17</v>
      </c>
      <c r="Q7" s="1">
        <f>+Q6/D3</f>
        <v>1E-4</v>
      </c>
      <c r="R7" t="s">
        <v>1</v>
      </c>
    </row>
    <row r="8" spans="4:18">
      <c r="D8" s="6">
        <v>1000</v>
      </c>
      <c r="E8" t="s">
        <v>12</v>
      </c>
      <c r="I8" s="1">
        <f>I7*D10</f>
        <v>2.2000000000000003E-4</v>
      </c>
      <c r="J8" t="s">
        <v>18</v>
      </c>
      <c r="Q8" s="2">
        <f>+Q7*D10</f>
        <v>2.2000000000000003E-4</v>
      </c>
      <c r="R8" t="s">
        <v>3</v>
      </c>
    </row>
    <row r="9" spans="4:18">
      <c r="D9" s="6">
        <v>1000</v>
      </c>
      <c r="E9" t="s">
        <v>0</v>
      </c>
      <c r="I9" s="1">
        <f>+I8/$D$11</f>
        <v>1.1000000000000002E-10</v>
      </c>
      <c r="J9" t="s">
        <v>19</v>
      </c>
      <c r="Q9" s="1">
        <f>+Q8/D11*D3</f>
        <v>1.1000000000000002E-4</v>
      </c>
      <c r="R9" t="s">
        <v>42</v>
      </c>
    </row>
    <row r="10" spans="4:18">
      <c r="D10" s="5">
        <v>2.2000000000000002</v>
      </c>
      <c r="E10" t="s">
        <v>2</v>
      </c>
      <c r="I10" s="1">
        <f>+I9*$D$12</f>
        <v>1.1000000000000002E-4</v>
      </c>
      <c r="J10" t="s">
        <v>20</v>
      </c>
      <c r="Q10" s="4">
        <f>+Q9*D7</f>
        <v>0.11000000000000001</v>
      </c>
      <c r="R10" t="s">
        <v>15</v>
      </c>
    </row>
    <row r="11" spans="4:18">
      <c r="D11" s="52">
        <v>2000000</v>
      </c>
      <c r="E11" t="s">
        <v>37</v>
      </c>
      <c r="I11" s="4">
        <f>+I10*$D$8</f>
        <v>0.11000000000000001</v>
      </c>
      <c r="J11" t="s">
        <v>21</v>
      </c>
    </row>
    <row r="12" spans="4:18">
      <c r="D12" s="6">
        <v>1000000</v>
      </c>
      <c r="E12" t="s">
        <v>36</v>
      </c>
    </row>
    <row r="13" spans="4:18">
      <c r="D13" s="7">
        <v>2000</v>
      </c>
      <c r="E13" t="s">
        <v>6</v>
      </c>
    </row>
    <row r="14" spans="4:18">
      <c r="D14" s="6">
        <v>43560</v>
      </c>
      <c r="E14" t="s">
        <v>22</v>
      </c>
      <c r="I14" t="s">
        <v>8</v>
      </c>
      <c r="J14" t="s">
        <v>38</v>
      </c>
      <c r="K14" s="3"/>
    </row>
    <row r="15" spans="4:18">
      <c r="D15" s="7">
        <v>12</v>
      </c>
      <c r="E15" t="s">
        <v>24</v>
      </c>
      <c r="K15" s="3"/>
    </row>
    <row r="16" spans="4:18">
      <c r="D16" s="5">
        <v>7.48</v>
      </c>
      <c r="E16" t="s">
        <v>26</v>
      </c>
      <c r="I16" s="53">
        <v>20</v>
      </c>
      <c r="J16" t="s">
        <v>11</v>
      </c>
      <c r="K16" s="3"/>
    </row>
    <row r="17" spans="4:11">
      <c r="D17" s="8">
        <v>3.7854100000000002</v>
      </c>
      <c r="E17" t="s">
        <v>27</v>
      </c>
      <c r="I17" s="54">
        <v>1</v>
      </c>
      <c r="J17" t="s">
        <v>23</v>
      </c>
    </row>
    <row r="18" spans="4:11">
      <c r="I18" s="1">
        <f>+D14*I17/D15</f>
        <v>3630</v>
      </c>
      <c r="J18" t="s">
        <v>25</v>
      </c>
    </row>
    <row r="19" spans="4:11">
      <c r="I19" s="9">
        <f>+I18*D16*D17</f>
        <v>102782.966484</v>
      </c>
      <c r="J19" t="s">
        <v>28</v>
      </c>
    </row>
    <row r="20" spans="4:11">
      <c r="I20" s="1">
        <f>+I16*I19/D5</f>
        <v>2.05565932968E-6</v>
      </c>
      <c r="J20" t="s">
        <v>30</v>
      </c>
    </row>
    <row r="21" spans="4:11">
      <c r="I21" s="1">
        <f>+I20*D10</f>
        <v>4.5224505252960002E-6</v>
      </c>
      <c r="J21" t="s">
        <v>31</v>
      </c>
    </row>
    <row r="22" spans="4:11">
      <c r="I22" s="1">
        <f>+I21/$D$11</f>
        <v>2.261225262648E-12</v>
      </c>
      <c r="J22" t="s">
        <v>19</v>
      </c>
    </row>
    <row r="23" spans="4:11">
      <c r="I23" s="1">
        <f>+I22*$D$12</f>
        <v>2.2612252626480001E-6</v>
      </c>
      <c r="J23" t="s">
        <v>32</v>
      </c>
      <c r="K23" s="3"/>
    </row>
    <row r="24" spans="4:11">
      <c r="I24" s="10">
        <f>+I23*$D$8</f>
        <v>2.2612252626480001E-3</v>
      </c>
      <c r="J24" t="s">
        <v>33</v>
      </c>
      <c r="K24" s="3"/>
    </row>
    <row r="25" spans="4:11">
      <c r="I25" s="11">
        <f>+I24*D8</f>
        <v>2.2612252626480003</v>
      </c>
      <c r="J25" t="s">
        <v>34</v>
      </c>
      <c r="K25" s="3"/>
    </row>
  </sheetData>
  <sheetProtection sheet="1" objects="1" scenarios="1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" workbookViewId="0">
      <selection activeCell="C6" sqref="C6"/>
    </sheetView>
  </sheetViews>
  <sheetFormatPr baseColWidth="10" defaultColWidth="8.83203125" defaultRowHeight="14" x14ac:dyDescent="0"/>
  <cols>
    <col min="1" max="1" width="12.5" customWidth="1"/>
    <col min="2" max="2" width="22.5" customWidth="1"/>
    <col min="3" max="3" width="13.83203125" customWidth="1"/>
    <col min="4" max="4" width="18.33203125" customWidth="1"/>
    <col min="5" max="5" width="6.6640625" customWidth="1"/>
    <col min="6" max="6" width="10.83203125" customWidth="1"/>
    <col min="7" max="7" width="6.6640625" customWidth="1"/>
    <col min="8" max="8" width="16.5" bestFit="1" customWidth="1"/>
    <col min="13" max="13" width="16.5" bestFit="1" customWidth="1"/>
    <col min="14" max="14" width="19" customWidth="1"/>
  </cols>
  <sheetData>
    <row r="1" spans="1:14" ht="20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3" spans="1:14">
      <c r="A3" s="58" t="s">
        <v>46</v>
      </c>
      <c r="B3" s="58"/>
      <c r="C3" s="58"/>
    </row>
    <row r="4" spans="1:14">
      <c r="A4" s="59" t="s">
        <v>47</v>
      </c>
      <c r="B4" s="59"/>
      <c r="C4" s="45" t="s">
        <v>48</v>
      </c>
      <c r="D4" s="12"/>
    </row>
    <row r="5" spans="1:14">
      <c r="A5" s="59" t="s">
        <v>49</v>
      </c>
      <c r="B5" s="59" t="s">
        <v>50</v>
      </c>
      <c r="C5" s="46">
        <v>403</v>
      </c>
      <c r="D5" s="48" t="s">
        <v>4</v>
      </c>
      <c r="F5" s="13" t="s">
        <v>51</v>
      </c>
      <c r="G5" s="14"/>
      <c r="H5" s="13" t="s">
        <v>52</v>
      </c>
    </row>
    <row r="6" spans="1:14">
      <c r="A6" s="59" t="s">
        <v>53</v>
      </c>
      <c r="B6" s="59" t="s">
        <v>50</v>
      </c>
      <c r="C6" s="47">
        <v>0.2</v>
      </c>
      <c r="D6" s="15"/>
      <c r="F6" s="16" t="s">
        <v>29</v>
      </c>
      <c r="G6" s="1" t="s">
        <v>54</v>
      </c>
      <c r="H6" s="17">
        <v>1000000000000</v>
      </c>
    </row>
    <row r="7" spans="1:14" ht="16">
      <c r="A7" s="55" t="s">
        <v>55</v>
      </c>
      <c r="B7" s="56" t="s">
        <v>50</v>
      </c>
      <c r="C7" s="45">
        <v>1686</v>
      </c>
      <c r="D7" s="15" t="s">
        <v>56</v>
      </c>
      <c r="F7" s="16" t="s">
        <v>4</v>
      </c>
      <c r="G7" s="1" t="s">
        <v>57</v>
      </c>
      <c r="H7" s="17">
        <f>1000000000</f>
        <v>1000000000</v>
      </c>
    </row>
    <row r="8" spans="1:14">
      <c r="A8" s="55" t="s">
        <v>58</v>
      </c>
      <c r="B8" s="56" t="s">
        <v>50</v>
      </c>
      <c r="C8" s="45">
        <v>5</v>
      </c>
      <c r="D8" s="18" t="s">
        <v>59</v>
      </c>
      <c r="F8" s="16" t="s">
        <v>42</v>
      </c>
      <c r="G8" s="1" t="s">
        <v>7</v>
      </c>
      <c r="H8" s="17">
        <v>1000000</v>
      </c>
    </row>
    <row r="9" spans="1:14" ht="15" thickBot="1">
      <c r="A9" s="62" t="s">
        <v>58</v>
      </c>
      <c r="B9" s="63" t="s">
        <v>50</v>
      </c>
      <c r="C9" s="19">
        <f>+C8*C6</f>
        <v>1</v>
      </c>
      <c r="D9" s="18" t="s">
        <v>60</v>
      </c>
      <c r="F9" s="20" t="s">
        <v>61</v>
      </c>
      <c r="G9" s="21"/>
      <c r="H9" s="22">
        <v>100</v>
      </c>
    </row>
    <row r="10" spans="1:14" ht="17" thickBot="1">
      <c r="A10" s="55" t="s">
        <v>62</v>
      </c>
      <c r="B10" s="56"/>
      <c r="C10" s="49">
        <v>2400</v>
      </c>
      <c r="D10" s="23" t="s">
        <v>56</v>
      </c>
      <c r="F10" s="24" t="s">
        <v>63</v>
      </c>
      <c r="G10" s="25" t="str">
        <f>D5</f>
        <v>ug/kg</v>
      </c>
      <c r="H10" s="26">
        <f>VLOOKUP(D5, F6:H9, 3, FALSE)</f>
        <v>1000000000</v>
      </c>
    </row>
    <row r="11" spans="1:14">
      <c r="A11" s="55" t="s">
        <v>64</v>
      </c>
      <c r="B11" s="56"/>
      <c r="C11" s="50">
        <v>0.75</v>
      </c>
      <c r="D11" s="12"/>
      <c r="F11" s="64" t="s">
        <v>65</v>
      </c>
      <c r="G11" s="66" t="s">
        <v>66</v>
      </c>
      <c r="H11" s="66"/>
      <c r="I11" s="27"/>
      <c r="J11" s="27"/>
      <c r="K11" s="27"/>
      <c r="L11" s="27"/>
      <c r="M11" s="27"/>
      <c r="N11" s="27"/>
    </row>
    <row r="12" spans="1:14">
      <c r="A12" s="55" t="s">
        <v>67</v>
      </c>
      <c r="B12" s="56"/>
      <c r="C12" s="28">
        <f>+C10/C27*C28/C25/C29*C11</f>
        <v>121</v>
      </c>
      <c r="D12" s="12" t="s">
        <v>68</v>
      </c>
      <c r="F12" s="65"/>
      <c r="G12" s="67"/>
      <c r="H12" s="67"/>
    </row>
    <row r="13" spans="1:14">
      <c r="A13" s="55" t="s">
        <v>69</v>
      </c>
      <c r="B13" s="56" t="s">
        <v>70</v>
      </c>
      <c r="C13" s="45">
        <v>8</v>
      </c>
      <c r="D13" s="12"/>
      <c r="F13" s="65"/>
      <c r="G13" s="67"/>
      <c r="H13" s="67"/>
    </row>
    <row r="14" spans="1:14">
      <c r="A14" s="55" t="s">
        <v>71</v>
      </c>
      <c r="B14" s="56"/>
      <c r="C14" s="28">
        <f>+C13*C12</f>
        <v>968</v>
      </c>
      <c r="D14" s="12" t="s">
        <v>72</v>
      </c>
      <c r="F14" s="65"/>
      <c r="G14" s="67"/>
      <c r="H14" s="67"/>
    </row>
    <row r="15" spans="1:14">
      <c r="A15" s="55" t="s">
        <v>73</v>
      </c>
      <c r="B15" s="56"/>
      <c r="C15" s="28">
        <f>+C14/C9</f>
        <v>968</v>
      </c>
      <c r="D15" s="29" t="s">
        <v>74</v>
      </c>
    </row>
    <row r="16" spans="1:14">
      <c r="A16" s="69" t="str">
        <f>+CONCATENATE("amount of ",C4, " added to soil")</f>
        <v>amount of PFOS added to soil</v>
      </c>
      <c r="B16" s="69"/>
      <c r="C16" s="30">
        <f>+C9*C5*$C$25/$H$7</f>
        <v>8.0599999999999997E-4</v>
      </c>
      <c r="D16" s="29" t="s">
        <v>75</v>
      </c>
    </row>
    <row r="17" spans="1:13" ht="15" customHeight="1">
      <c r="A17" s="59" t="s">
        <v>76</v>
      </c>
      <c r="B17" s="59" t="s">
        <v>50</v>
      </c>
      <c r="C17" s="51">
        <v>0</v>
      </c>
      <c r="D17" s="31" t="str">
        <f>D5</f>
        <v>ug/kg</v>
      </c>
      <c r="E17" s="32" t="s">
        <v>77</v>
      </c>
      <c r="F17" s="60" t="s">
        <v>78</v>
      </c>
      <c r="G17" s="60"/>
      <c r="H17" s="60"/>
      <c r="I17" s="27"/>
      <c r="J17" s="27"/>
      <c r="K17" s="27"/>
      <c r="L17" s="27"/>
      <c r="M17" s="27"/>
    </row>
    <row r="18" spans="1:13">
      <c r="A18" s="59" t="str">
        <f>+CONCATENATE("amount of ", C4, " in soil")</f>
        <v>amount of PFOS in soil</v>
      </c>
      <c r="B18" s="59" t="s">
        <v>50</v>
      </c>
      <c r="C18" s="30">
        <f>+(C14*C17*$C$25/$H$10)</f>
        <v>0</v>
      </c>
      <c r="D18" s="29" t="s">
        <v>75</v>
      </c>
      <c r="E18" s="33"/>
      <c r="F18" s="60"/>
      <c r="G18" s="60"/>
      <c r="H18" s="60"/>
    </row>
    <row r="19" spans="1:13">
      <c r="A19" s="61" t="str">
        <f>+CONCATENATE("amount of ", C4, " after 1 application")</f>
        <v>amount of PFOS after 1 application</v>
      </c>
      <c r="B19" s="61" t="s">
        <v>50</v>
      </c>
      <c r="C19" s="34">
        <f>+((C14*C17*$C$25/$H$10))+C16</f>
        <v>8.0599999999999997E-4</v>
      </c>
      <c r="D19" s="35" t="s">
        <v>75</v>
      </c>
      <c r="E19" s="33"/>
      <c r="F19" s="60"/>
      <c r="G19" s="60"/>
      <c r="H19" s="60"/>
    </row>
    <row r="20" spans="1:13">
      <c r="A20" s="59" t="s">
        <v>79</v>
      </c>
      <c r="B20" s="59" t="s">
        <v>50</v>
      </c>
      <c r="C20" s="36">
        <f>+C19/(C25*C14)*$H$10</f>
        <v>0.41632231404958681</v>
      </c>
      <c r="D20" s="1" t="str">
        <f>+D5</f>
        <v>ug/kg</v>
      </c>
      <c r="E20" s="33"/>
      <c r="F20" s="60"/>
      <c r="G20" s="60"/>
      <c r="H20" s="60"/>
    </row>
    <row r="21" spans="1:13">
      <c r="A21" s="59" t="s">
        <v>80</v>
      </c>
      <c r="B21" s="59"/>
      <c r="C21" s="36">
        <f>+C20-C17</f>
        <v>0.41632231404958681</v>
      </c>
      <c r="D21" s="1" t="str">
        <f>+D5</f>
        <v>ug/kg</v>
      </c>
    </row>
    <row r="24" spans="1:13">
      <c r="A24" s="68" t="s">
        <v>81</v>
      </c>
      <c r="B24" s="68"/>
      <c r="C24" s="68"/>
      <c r="D24" s="68"/>
    </row>
    <row r="25" spans="1:13">
      <c r="A25" s="37" t="s">
        <v>82</v>
      </c>
      <c r="B25" s="38" t="s">
        <v>83</v>
      </c>
      <c r="C25" s="39">
        <v>2000</v>
      </c>
      <c r="D25" s="40" t="s">
        <v>84</v>
      </c>
    </row>
    <row r="26" spans="1:13">
      <c r="A26" s="1"/>
      <c r="B26" s="1"/>
      <c r="C26" s="41">
        <v>100</v>
      </c>
      <c r="D26" s="42" t="s">
        <v>85</v>
      </c>
    </row>
    <row r="27" spans="1:13" ht="16">
      <c r="A27" s="43" t="s">
        <v>86</v>
      </c>
      <c r="B27" s="38" t="s">
        <v>83</v>
      </c>
      <c r="C27" s="41">
        <v>27</v>
      </c>
      <c r="D27" s="40" t="s">
        <v>87</v>
      </c>
    </row>
    <row r="28" spans="1:13" ht="16">
      <c r="A28" s="37" t="s">
        <v>88</v>
      </c>
      <c r="B28" s="38" t="s">
        <v>83</v>
      </c>
      <c r="C28" s="39">
        <v>43560</v>
      </c>
      <c r="D28" s="40" t="s">
        <v>87</v>
      </c>
    </row>
    <row r="29" spans="1:13">
      <c r="A29" s="1"/>
      <c r="B29" s="1"/>
      <c r="C29" s="41">
        <v>12</v>
      </c>
      <c r="D29" s="40" t="s">
        <v>24</v>
      </c>
    </row>
    <row r="30" spans="1:13">
      <c r="A30" s="44"/>
      <c r="B30" s="3"/>
      <c r="C30" s="3"/>
    </row>
  </sheetData>
  <sheetProtection sheet="1" objects="1" scenarios="1"/>
  <mergeCells count="24">
    <mergeCell ref="A21:B21"/>
    <mergeCell ref="A24:D24"/>
    <mergeCell ref="A15:B15"/>
    <mergeCell ref="A16:B16"/>
    <mergeCell ref="A17:B17"/>
    <mergeCell ref="F17:H20"/>
    <mergeCell ref="A18:B18"/>
    <mergeCell ref="A19:B19"/>
    <mergeCell ref="A20:B20"/>
    <mergeCell ref="A8:B8"/>
    <mergeCell ref="A9:B9"/>
    <mergeCell ref="A10:B10"/>
    <mergeCell ref="A11:B11"/>
    <mergeCell ref="F11:F14"/>
    <mergeCell ref="G11:H14"/>
    <mergeCell ref="A12:B12"/>
    <mergeCell ref="A13:B13"/>
    <mergeCell ref="A14:B14"/>
    <mergeCell ref="A7:B7"/>
    <mergeCell ref="A1:J1"/>
    <mergeCell ref="A3:C3"/>
    <mergeCell ref="A4:B4"/>
    <mergeCell ref="A5:B5"/>
    <mergeCell ref="A6:B6"/>
  </mergeCells>
  <dataValidations count="1">
    <dataValidation type="list" allowBlank="1" showInputMessage="1" showErrorMessage="1" sqref="D5">
      <formula1>$F$6:$F$9</formula1>
    </dataValidation>
  </dataValidation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soil loading rate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northerntilth</dc:creator>
  <cp:lastModifiedBy>NEBRA</cp:lastModifiedBy>
  <dcterms:created xsi:type="dcterms:W3CDTF">2020-08-24T15:10:35Z</dcterms:created>
  <dcterms:modified xsi:type="dcterms:W3CDTF">2020-10-02T19:22:33Z</dcterms:modified>
</cp:coreProperties>
</file>